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matulich\Desktop\"/>
    </mc:Choice>
  </mc:AlternateContent>
  <xr:revisionPtr revIDLastSave="0" documentId="13_ncr:1_{163AD7E9-1325-483E-B1D4-8BAF2F55C116}" xr6:coauthVersionLast="47" xr6:coauthVersionMax="47" xr10:uidLastSave="{00000000-0000-0000-0000-000000000000}"/>
  <bookViews>
    <workbookView xWindow="-108" yWindow="-108" windowWidth="23256" windowHeight="12456" xr2:uid="{2355C451-F793-4587-A36E-CFA406D8E6AC}"/>
  </bookViews>
  <sheets>
    <sheet name="Step 1 Capacity" sheetId="2" r:id="rId1"/>
    <sheet name="Step 2 Budget  Plan" sheetId="1" r:id="rId2"/>
    <sheet name="Step 3 GPMD" sheetId="3" r:id="rId3"/>
    <sheet name="Step 4 Price a Job" sheetId="4" r:id="rId4"/>
    <sheet name="Overhead Calculator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4" l="1"/>
  <c r="B16" i="4" s="1"/>
  <c r="B17" i="4"/>
  <c r="G54" i="1"/>
  <c r="G50" i="1"/>
  <c r="G46" i="1"/>
  <c r="G42" i="1"/>
  <c r="G38" i="1"/>
  <c r="G34" i="1"/>
  <c r="G30" i="1"/>
  <c r="G26" i="1"/>
  <c r="G22" i="1"/>
  <c r="G18" i="1"/>
  <c r="G14" i="1"/>
  <c r="A8" i="5"/>
  <c r="A12" i="5" s="1"/>
  <c r="D58" i="1"/>
  <c r="D57" i="1"/>
  <c r="E57" i="1" s="1"/>
  <c r="C58" i="1"/>
  <c r="C57" i="1"/>
  <c r="D7" i="3"/>
  <c r="B9" i="3"/>
  <c r="B58" i="1"/>
  <c r="G58" i="1" s="1"/>
  <c r="B57" i="1"/>
  <c r="B11" i="2"/>
  <c r="B14" i="2" s="1"/>
  <c r="B16" i="2" s="1"/>
  <c r="B24" i="2" s="1"/>
  <c r="B22" i="2" l="1"/>
  <c r="E58" i="1"/>
  <c r="F58" i="1" s="1"/>
  <c r="B4" i="3" s="1"/>
  <c r="B4" i="4" s="1"/>
  <c r="D8" i="3"/>
  <c r="D9" i="3" s="1"/>
  <c r="D14" i="3" l="1"/>
  <c r="F14" i="3" s="1"/>
  <c r="G14" i="3" s="1"/>
  <c r="C14" i="3"/>
  <c r="E54" i="1" l="1"/>
  <c r="F54" i="1" s="1"/>
  <c r="E53" i="1"/>
  <c r="E50" i="1"/>
  <c r="F50" i="1" s="1"/>
  <c r="E49" i="1"/>
  <c r="E46" i="1"/>
  <c r="F46" i="1" s="1"/>
  <c r="E45" i="1"/>
  <c r="E42" i="1"/>
  <c r="F42" i="1" s="1"/>
  <c r="E41" i="1"/>
  <c r="E38" i="1"/>
  <c r="F38" i="1" s="1"/>
  <c r="E37" i="1"/>
  <c r="E34" i="1"/>
  <c r="F34" i="1" s="1"/>
  <c r="E33" i="1"/>
  <c r="E30" i="1"/>
  <c r="F30" i="1" s="1"/>
  <c r="E29" i="1"/>
  <c r="E26" i="1"/>
  <c r="F26" i="1" s="1"/>
  <c r="E25" i="1"/>
  <c r="E22" i="1"/>
  <c r="F22" i="1" s="1"/>
  <c r="E21" i="1"/>
  <c r="E18" i="1"/>
  <c r="F18" i="1" s="1"/>
  <c r="E17" i="1"/>
  <c r="E14" i="1"/>
  <c r="F14" i="1" s="1"/>
  <c r="E13" i="1"/>
  <c r="E10" i="1"/>
  <c r="F10" i="1" s="1"/>
  <c r="G10" i="1" s="1"/>
  <c r="E9" i="1"/>
  <c r="D25" i="3" l="1"/>
  <c r="F25" i="3" s="1"/>
  <c r="G25" i="3" s="1"/>
  <c r="C25" i="3"/>
  <c r="C23" i="3"/>
  <c r="D23" i="3"/>
  <c r="F23" i="3" s="1"/>
  <c r="G23" i="3" s="1"/>
  <c r="D24" i="3"/>
  <c r="F24" i="3" s="1"/>
  <c r="G24" i="3" s="1"/>
  <c r="C24" i="3"/>
  <c r="C22" i="3"/>
  <c r="D22" i="3"/>
  <c r="F22" i="3" s="1"/>
  <c r="G22" i="3" s="1"/>
  <c r="D26" i="3"/>
  <c r="F26" i="3" s="1"/>
  <c r="G26" i="3" s="1"/>
  <c r="C26" i="3"/>
  <c r="C21" i="3"/>
  <c r="D21" i="3"/>
  <c r="F21" i="3" s="1"/>
  <c r="G21" i="3" s="1"/>
  <c r="D20" i="3"/>
  <c r="F20" i="3" s="1"/>
  <c r="G20" i="3" s="1"/>
  <c r="C20" i="3"/>
  <c r="D19" i="3"/>
  <c r="F19" i="3" s="1"/>
  <c r="G19" i="3" s="1"/>
  <c r="C19" i="3"/>
  <c r="D18" i="3"/>
  <c r="F18" i="3" s="1"/>
  <c r="G18" i="3" s="1"/>
  <c r="C18" i="3"/>
  <c r="C17" i="3"/>
  <c r="D17" i="3"/>
  <c r="F17" i="3" s="1"/>
  <c r="G17" i="3" s="1"/>
  <c r="D16" i="3"/>
  <c r="F16" i="3" s="1"/>
  <c r="G16" i="3" s="1"/>
  <c r="C16" i="3"/>
  <c r="C15" i="3"/>
  <c r="D15" i="3"/>
  <c r="F15" i="3" s="1"/>
  <c r="G15" i="3" s="1"/>
</calcChain>
</file>

<file path=xl/sharedStrings.xml><?xml version="1.0" encoding="utf-8"?>
<sst xmlns="http://schemas.openxmlformats.org/spreadsheetml/2006/main" count="194" uniqueCount="83">
  <si>
    <t>Gross Profit Man Day / Crew Day</t>
  </si>
  <si>
    <t>You need to complete the budget below, use your past numbers as a guide. Consider what will be different this Jan (for example) than Jan last year.</t>
  </si>
  <si>
    <t>This budget is for the installation department only in a fully departmentalized Profit and Loss statement.</t>
  </si>
  <si>
    <t>January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</si>
  <si>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</si>
  <si>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</si>
  <si>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</si>
  <si>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</si>
  <si>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</si>
  <si>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</si>
  <si>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</si>
  <si>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</si>
  <si>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</si>
  <si>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</si>
  <si>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Revenue (Sales)</t>
  </si>
  <si>
    <t>Last Year</t>
  </si>
  <si>
    <t>This Year</t>
  </si>
  <si>
    <t>February</t>
  </si>
  <si>
    <t>Gross Profit * $</t>
  </si>
  <si>
    <t>Overhead* $</t>
  </si>
  <si>
    <t>Net Profit (EBITA) $</t>
  </si>
  <si>
    <t xml:space="preserve"> @Larkin</t>
  </si>
  <si>
    <t>N/A</t>
  </si>
  <si>
    <t># of crews</t>
  </si>
  <si>
    <t>#of work days in a year</t>
  </si>
  <si>
    <t>Weeks in a year</t>
  </si>
  <si>
    <t>Number of work days (5 days a week Saturdays considered free)</t>
  </si>
  <si>
    <t>Crew days available to sell (Capacity)</t>
  </si>
  <si>
    <t>Holidays (6 avg)</t>
  </si>
  <si>
    <t># work weeks in a year</t>
  </si>
  <si>
    <t>Target number of crew days filled</t>
  </si>
  <si>
    <t>Number of Crew days sold last year</t>
  </si>
  <si>
    <t>Capacity target %</t>
  </si>
  <si>
    <t># of available crew days that will go unfilled</t>
  </si>
  <si>
    <t>Average weeks vacation ( 2 weeks average)</t>
  </si>
  <si>
    <t>Total</t>
  </si>
  <si>
    <t xml:space="preserve">Gross Profit per Man / Crew Day </t>
  </si>
  <si>
    <t>Mix of Jobs</t>
  </si>
  <si>
    <t>1/2 day jobs</t>
  </si>
  <si>
    <t>Full day jobs</t>
  </si>
  <si>
    <t>Target close rate</t>
  </si>
  <si>
    <t>Jobs</t>
  </si>
  <si>
    <t>Required Leads / Proposals</t>
  </si>
  <si>
    <t>Year</t>
  </si>
  <si>
    <t>Jan</t>
  </si>
  <si>
    <t>Feb</t>
  </si>
  <si>
    <t>Mar</t>
  </si>
  <si>
    <t>Apr</t>
  </si>
  <si>
    <t>Jun</t>
  </si>
  <si>
    <t>Jul</t>
  </si>
  <si>
    <t>Aug</t>
  </si>
  <si>
    <t>Sept</t>
  </si>
  <si>
    <t>Oct</t>
  </si>
  <si>
    <t>Nov</t>
  </si>
  <si>
    <t>Dec</t>
  </si>
  <si>
    <t>Weeks</t>
  </si>
  <si>
    <t>Jobs per Week</t>
  </si>
  <si>
    <t>Jobs per Day *</t>
  </si>
  <si>
    <t>* 5 days a week Saturdays free</t>
  </si>
  <si>
    <t>Est. Gross Profit Crew Day</t>
  </si>
  <si>
    <t>Gross Profit Crew Day</t>
  </si>
  <si>
    <t>Days to Complete Job</t>
  </si>
  <si>
    <t>Materials Cost</t>
  </si>
  <si>
    <t>Equipment Cost</t>
  </si>
  <si>
    <t>Financing cost</t>
  </si>
  <si>
    <t>Permits</t>
  </si>
  <si>
    <t>Warranty  Expenses</t>
  </si>
  <si>
    <t>Sell Price</t>
  </si>
  <si>
    <t xml:space="preserve">Breakeven </t>
  </si>
  <si>
    <t>Total Direct Labor Cost for the Company</t>
  </si>
  <si>
    <t>Total Direct Labor Cost for the Department</t>
  </si>
  <si>
    <t>Overhead for Install Department (Cheat Sheet)</t>
  </si>
  <si>
    <t>% of Direct Labor for Install Department</t>
  </si>
  <si>
    <t>Total Overhead for the Company</t>
  </si>
  <si>
    <t>Step 2 Budget / Installation /AOR profit plan</t>
  </si>
  <si>
    <t xml:space="preserve">Step 1 Labor / Crew Capacity </t>
  </si>
  <si>
    <t>Fill in the data in the beige box</t>
  </si>
  <si>
    <t>Required Gross Profit $ *</t>
  </si>
  <si>
    <t>Commission</t>
  </si>
  <si>
    <t>Subcontractors</t>
  </si>
  <si>
    <t>Total Direct Labor</t>
  </si>
  <si>
    <t>Total Cost of Goods Sold</t>
  </si>
  <si>
    <t>Est. Overhead for the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</si>
</sst>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14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i/>
      <sz val="6"/>
      <color theme="1"/>
      <name val="Bookman Old Style"/>
      <family val="1"/>
    </font>
    <font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u/>
      <sz val="18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i/>
      <sz val="16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/>
    <xf numFmtId="0" fontId="0" fillId="0" borderId="1" xfId="0" applyBorder="1"/>
    <xf numFmtId="0" fontId="1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9" fontId="0" fillId="2" borderId="1" xfId="2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0" fillId="5" borderId="0" xfId="0" applyFill="1"/>
    <xf numFmtId="0" fontId="1" fillId="5" borderId="0" xfId="0" applyFont="1" applyFill="1"/>
    <xf numFmtId="9" fontId="0" fillId="0" borderId="0" xfId="2" applyFont="1" applyAlignment="1">
      <alignment horizontal="center"/>
    </xf>
    <xf numFmtId="9" fontId="0" fillId="3" borderId="1" xfId="2" applyFont="1" applyFill="1" applyBorder="1" applyAlignment="1">
      <alignment horizontal="center"/>
    </xf>
    <xf numFmtId="9" fontId="0" fillId="2" borderId="1" xfId="0" applyNumberForma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" fillId="5" borderId="0" xfId="0" applyFont="1" applyFill="1" applyAlignment="1">
      <alignment horizontal="center"/>
    </xf>
    <xf numFmtId="1" fontId="0" fillId="5" borderId="1" xfId="0" applyNumberFormat="1" applyFill="1" applyBorder="1" applyAlignment="1">
      <alignment horizontal="center"/>
    </xf>
    <xf numFmtId="9" fontId="0" fillId="0" borderId="0" xfId="0" applyNumberFormat="1" applyAlignment="1">
      <alignment horizontal="center"/>
    </xf>
    <xf numFmtId="164" fontId="0" fillId="3" borderId="1" xfId="1" applyNumberFormat="1" applyFont="1" applyFill="1" applyBorder="1" applyAlignment="1">
      <alignment horizontal="center"/>
    </xf>
    <xf numFmtId="164" fontId="0" fillId="2" borderId="1" xfId="1" applyNumberFormat="1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1" fillId="2" borderId="0" xfId="0" applyNumberFormat="1" applyFont="1" applyFill="1" applyAlignment="1">
      <alignment horizontal="center"/>
    </xf>
    <xf numFmtId="164" fontId="8" fillId="4" borderId="0" xfId="0" applyNumberFormat="1" applyFont="1" applyFill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0" fillId="4" borderId="0" xfId="0" applyFill="1"/>
    <xf numFmtId="0" fontId="9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0" borderId="0" xfId="0" applyAlignment="1">
      <alignment horizontal="left"/>
    </xf>
    <xf numFmtId="0" fontId="0" fillId="4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164" fontId="0" fillId="3" borderId="1" xfId="0" applyNumberFormat="1" applyFill="1" applyBorder="1"/>
    <xf numFmtId="164" fontId="0" fillId="4" borderId="1" xfId="0" applyNumberFormat="1" applyFill="1" applyBorder="1"/>
    <xf numFmtId="164" fontId="10" fillId="5" borderId="1" xfId="0" applyNumberFormat="1" applyFont="1" applyFill="1" applyBorder="1"/>
    <xf numFmtId="0" fontId="10" fillId="5" borderId="1" xfId="0" applyFont="1" applyFill="1" applyBorder="1" applyAlignment="1">
      <alignment horizontal="left"/>
    </xf>
    <xf numFmtId="9" fontId="0" fillId="5" borderId="1" xfId="2" applyFont="1" applyFill="1" applyBorder="1"/>
    <xf numFmtId="0" fontId="11" fillId="4" borderId="0" xfId="0" applyFont="1" applyFill="1"/>
    <xf numFmtId="0" fontId="2" fillId="0" borderId="0" xfId="0" applyFont="1" applyAlignment="1">
      <alignment horizontal="left"/>
    </xf>
    <xf numFmtId="0" fontId="0" fillId="3" borderId="0" xfId="0" applyFill="1" applyAlignment="1">
      <alignment horizontal="left"/>
    </xf>
    <xf numFmtId="0" fontId="0" fillId="2" borderId="1" xfId="0" applyFill="1" applyBorder="1"/>
    <xf numFmtId="165" fontId="0" fillId="4" borderId="1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164" fontId="12" fillId="4" borderId="2" xfId="0" applyNumberFormat="1" applyFont="1" applyFill="1" applyBorder="1" applyAlignment="1">
      <alignment horizontal="center"/>
    </xf>
    <xf numFmtId="0" fontId="12" fillId="4" borderId="3" xfId="0" applyFont="1" applyFill="1" applyBorder="1"/>
    <xf numFmtId="0" fontId="13" fillId="4" borderId="4" xfId="0" applyFont="1" applyFill="1" applyBorder="1" applyAlignment="1">
      <alignment horizontal="center"/>
    </xf>
    <xf numFmtId="0" fontId="0" fillId="3" borderId="0" xfId="0" applyFill="1"/>
    <xf numFmtId="164" fontId="11" fillId="4" borderId="1" xfId="0" applyNumberFormat="1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B7ACF-9EBF-47B3-A88F-AFDB1E61E1D8}">
  <dimension ref="B1:C24"/>
  <sheetViews>
    <sheetView tabSelected="1" workbookViewId="0">
      <selection activeCell="L20" sqref="L20"/>
    </sheetView>
  </sheetViews>
  <sheetFormatPr defaultRowHeight="14.4" x14ac:dyDescent="0.3"/>
  <cols>
    <col min="1" max="1" width="23.21875" customWidth="1"/>
    <col min="2" max="2" width="8.77734375" style="6"/>
    <col min="3" max="3" width="56.21875" customWidth="1"/>
  </cols>
  <sheetData>
    <row r="1" spans="2:3" s="3" customFormat="1" ht="23.4" x14ac:dyDescent="0.45">
      <c r="B1" s="3" t="s">
        <v>0</v>
      </c>
    </row>
    <row r="2" spans="2:3" ht="18" x14ac:dyDescent="0.35">
      <c r="B2" s="49" t="s">
        <v>75</v>
      </c>
    </row>
    <row r="3" spans="2:3" ht="10.050000000000001" customHeight="1" x14ac:dyDescent="0.3">
      <c r="B3" s="4" t="s">
        <v>21</v>
      </c>
    </row>
    <row r="4" spans="2:3" x14ac:dyDescent="0.3">
      <c r="C4" s="50" t="s">
        <v>76</v>
      </c>
    </row>
    <row r="5" spans="2:3" x14ac:dyDescent="0.3">
      <c r="C5" s="40"/>
    </row>
    <row r="6" spans="2:3" x14ac:dyDescent="0.3">
      <c r="B6" s="7">
        <v>2</v>
      </c>
      <c r="C6" t="s">
        <v>23</v>
      </c>
    </row>
    <row r="8" spans="2:3" x14ac:dyDescent="0.3">
      <c r="B8" s="12" t="s">
        <v>24</v>
      </c>
    </row>
    <row r="9" spans="2:3" x14ac:dyDescent="0.3">
      <c r="B9" s="7">
        <v>52</v>
      </c>
      <c r="C9" s="39" t="s">
        <v>25</v>
      </c>
    </row>
    <row r="10" spans="2:3" x14ac:dyDescent="0.3">
      <c r="B10" s="7">
        <v>2</v>
      </c>
      <c r="C10" s="39" t="s">
        <v>34</v>
      </c>
    </row>
    <row r="11" spans="2:3" x14ac:dyDescent="0.3">
      <c r="B11" s="8">
        <f>B9-B10</f>
        <v>50</v>
      </c>
      <c r="C11" s="51" t="s">
        <v>29</v>
      </c>
    </row>
    <row r="12" spans="2:3" x14ac:dyDescent="0.3">
      <c r="B12" s="7">
        <v>6</v>
      </c>
      <c r="C12" s="39" t="s">
        <v>28</v>
      </c>
    </row>
    <row r="13" spans="2:3" ht="11.55" customHeight="1" x14ac:dyDescent="0.3"/>
    <row r="14" spans="2:3" x14ac:dyDescent="0.3">
      <c r="B14" s="8">
        <f>+(B11*5)-B12</f>
        <v>244</v>
      </c>
      <c r="C14" s="51" t="s">
        <v>26</v>
      </c>
    </row>
    <row r="16" spans="2:3" x14ac:dyDescent="0.3">
      <c r="B16" s="8">
        <f>B14*B6</f>
        <v>488</v>
      </c>
      <c r="C16" s="51" t="s">
        <v>27</v>
      </c>
    </row>
    <row r="18" spans="2:3" x14ac:dyDescent="0.3">
      <c r="B18" s="7"/>
      <c r="C18" s="39" t="s">
        <v>31</v>
      </c>
    </row>
    <row r="20" spans="2:3" x14ac:dyDescent="0.3">
      <c r="B20" s="7">
        <v>317</v>
      </c>
      <c r="C20" s="39" t="s">
        <v>30</v>
      </c>
    </row>
    <row r="22" spans="2:3" x14ac:dyDescent="0.3">
      <c r="B22" s="14">
        <f>B20/B16</f>
        <v>0.64959016393442626</v>
      </c>
      <c r="C22" s="51" t="s">
        <v>32</v>
      </c>
    </row>
    <row r="24" spans="2:3" x14ac:dyDescent="0.3">
      <c r="B24" s="13">
        <f>B16-B20</f>
        <v>171</v>
      </c>
      <c r="C24" s="51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0D0EA-78FC-43D1-BBF1-CADF502AEDEA}">
  <dimension ref="A1:G58"/>
  <sheetViews>
    <sheetView topLeftCell="A20" workbookViewId="0">
      <selection activeCell="B27" sqref="B27"/>
    </sheetView>
  </sheetViews>
  <sheetFormatPr defaultRowHeight="14.4" x14ac:dyDescent="0.3"/>
  <cols>
    <col min="1" max="1" width="14.109375" customWidth="1"/>
    <col min="2" max="2" width="23.21875" bestFit="1" customWidth="1"/>
    <col min="3" max="3" width="22.21875" bestFit="1" customWidth="1"/>
    <col min="4" max="4" width="18.33203125" bestFit="1" customWidth="1"/>
    <col min="5" max="5" width="29.109375" customWidth="1"/>
    <col min="6" max="6" width="37.5546875" customWidth="1"/>
    <col min="7" max="7" width="0" hidden="1" customWidth="1"/>
  </cols>
  <sheetData>
    <row r="1" spans="1:7" ht="23.4" x14ac:dyDescent="0.45">
      <c r="A1" s="3" t="s">
        <v>0</v>
      </c>
    </row>
    <row r="2" spans="1:7" x14ac:dyDescent="0.3">
      <c r="A2" s="4" t="s">
        <v>21</v>
      </c>
    </row>
    <row r="3" spans="1:7" ht="18" x14ac:dyDescent="0.35">
      <c r="A3" s="2" t="s">
        <v>74</v>
      </c>
    </row>
    <row r="4" spans="1:7" x14ac:dyDescent="0.3">
      <c r="A4" t="s">
        <v>1</v>
      </c>
    </row>
    <row r="5" spans="1:7" x14ac:dyDescent="0.3">
      <c r="A5" s="10" t="s">
        <v>2</v>
      </c>
      <c r="B5" s="10"/>
      <c r="C5" s="10"/>
      <c r="D5" s="10"/>
      <c r="E5" s="10"/>
      <c r="F5" s="10"/>
    </row>
    <row r="6" spans="1:7" x14ac:dyDescent="0.3">
      <c r="B6" s="50" t="s">
        <v>76</v>
      </c>
      <c r="C6" s="57"/>
    </row>
    <row r="7" spans="1:7" x14ac:dyDescent="0.3">
      <c r="B7" s="1"/>
      <c r="C7" s="1"/>
      <c r="D7" s="1"/>
      <c r="E7" s="1"/>
    </row>
    <row r="8" spans="1:7" s="6" customFormat="1" x14ac:dyDescent="0.3">
      <c r="A8" s="5" t="s">
        <v>3</v>
      </c>
      <c r="B8" s="5" t="s">
        <v>14</v>
      </c>
      <c r="C8" s="5" t="s">
        <v>18</v>
      </c>
      <c r="D8" s="5" t="s">
        <v>19</v>
      </c>
      <c r="E8" s="5" t="s">
        <v>20</v>
      </c>
      <c r="F8" s="5" t="s">
        <v>77</v>
      </c>
    </row>
    <row r="9" spans="1:7" s="6" customFormat="1" x14ac:dyDescent="0.3">
      <c r="A9" s="6" t="s">
        <v>15</v>
      </c>
      <c r="B9" s="26"/>
      <c r="C9" s="26"/>
      <c r="D9" s="26"/>
      <c r="E9" s="27">
        <f>C9-D9</f>
        <v>0</v>
      </c>
      <c r="F9" s="27" t="s">
        <v>22</v>
      </c>
    </row>
    <row r="10" spans="1:7" s="6" customFormat="1" x14ac:dyDescent="0.3">
      <c r="A10" s="6" t="s">
        <v>16</v>
      </c>
      <c r="B10" s="26">
        <v>150000</v>
      </c>
      <c r="C10" s="26">
        <v>50000</v>
      </c>
      <c r="D10" s="26">
        <v>35000</v>
      </c>
      <c r="E10" s="27">
        <f>C10-D10</f>
        <v>15000</v>
      </c>
      <c r="F10" s="27">
        <f>D10+E10</f>
        <v>50000</v>
      </c>
      <c r="G10" s="19">
        <f>F10/F58</f>
        <v>6.7114093959731544E-2</v>
      </c>
    </row>
    <row r="11" spans="1:7" s="6" customFormat="1" x14ac:dyDescent="0.3">
      <c r="B11" s="30"/>
      <c r="C11" s="30"/>
      <c r="D11" s="30"/>
      <c r="E11" s="30"/>
      <c r="F11" s="30"/>
    </row>
    <row r="12" spans="1:7" s="6" customFormat="1" x14ac:dyDescent="0.3">
      <c r="A12" s="9" t="s">
        <v>17</v>
      </c>
      <c r="B12" s="31" t="s">
        <v>14</v>
      </c>
      <c r="C12" s="31" t="s">
        <v>18</v>
      </c>
      <c r="D12" s="31" t="s">
        <v>19</v>
      </c>
      <c r="E12" s="31" t="s">
        <v>20</v>
      </c>
      <c r="F12" s="31" t="s">
        <v>77</v>
      </c>
    </row>
    <row r="13" spans="1:7" s="6" customFormat="1" x14ac:dyDescent="0.3">
      <c r="A13" s="6" t="s">
        <v>15</v>
      </c>
      <c r="B13" s="28"/>
      <c r="C13" s="28"/>
      <c r="D13" s="28"/>
      <c r="E13" s="29">
        <f>C13-D13</f>
        <v>0</v>
      </c>
      <c r="F13" s="29" t="s">
        <v>22</v>
      </c>
    </row>
    <row r="14" spans="1:7" s="6" customFormat="1" x14ac:dyDescent="0.3">
      <c r="A14" s="6" t="s">
        <v>16</v>
      </c>
      <c r="B14" s="28">
        <v>130000</v>
      </c>
      <c r="C14" s="28">
        <v>42000</v>
      </c>
      <c r="D14" s="28">
        <v>35000</v>
      </c>
      <c r="E14" s="29">
        <f>C14-D14</f>
        <v>7000</v>
      </c>
      <c r="F14" s="29">
        <f>D14+E14</f>
        <v>42000</v>
      </c>
      <c r="G14" s="19">
        <f>F14/F58</f>
        <v>5.6375838926174496E-2</v>
      </c>
    </row>
    <row r="15" spans="1:7" s="6" customFormat="1" x14ac:dyDescent="0.3">
      <c r="B15" s="30"/>
      <c r="C15" s="30"/>
      <c r="D15" s="30"/>
      <c r="E15" s="30"/>
      <c r="F15" s="30"/>
    </row>
    <row r="16" spans="1:7" s="6" customFormat="1" x14ac:dyDescent="0.3">
      <c r="A16" s="9" t="s">
        <v>4</v>
      </c>
      <c r="B16" s="31" t="s">
        <v>14</v>
      </c>
      <c r="C16" s="31" t="s">
        <v>18</v>
      </c>
      <c r="D16" s="31" t="s">
        <v>19</v>
      </c>
      <c r="E16" s="31" t="s">
        <v>20</v>
      </c>
      <c r="F16" s="31" t="s">
        <v>77</v>
      </c>
    </row>
    <row r="17" spans="1:7" s="6" customFormat="1" x14ac:dyDescent="0.3">
      <c r="A17" s="6" t="s">
        <v>15</v>
      </c>
      <c r="B17" s="28"/>
      <c r="C17" s="28"/>
      <c r="D17" s="28"/>
      <c r="E17" s="29">
        <f>C17-D17</f>
        <v>0</v>
      </c>
      <c r="F17" s="29" t="s">
        <v>22</v>
      </c>
    </row>
    <row r="18" spans="1:7" s="6" customFormat="1" x14ac:dyDescent="0.3">
      <c r="A18" s="6" t="s">
        <v>16</v>
      </c>
      <c r="B18" s="28">
        <v>160000</v>
      </c>
      <c r="C18" s="28">
        <v>50000</v>
      </c>
      <c r="D18" s="28">
        <v>35000</v>
      </c>
      <c r="E18" s="29">
        <f>C18-D18</f>
        <v>15000</v>
      </c>
      <c r="F18" s="29">
        <f>D18+E18</f>
        <v>50000</v>
      </c>
      <c r="G18" s="19">
        <f>F18/F58</f>
        <v>6.7114093959731544E-2</v>
      </c>
    </row>
    <row r="19" spans="1:7" s="6" customFormat="1" x14ac:dyDescent="0.3">
      <c r="B19" s="30"/>
      <c r="C19" s="30"/>
      <c r="D19" s="30"/>
      <c r="E19" s="30"/>
      <c r="F19" s="30"/>
    </row>
    <row r="20" spans="1:7" s="6" customFormat="1" x14ac:dyDescent="0.3">
      <c r="A20" s="9" t="s">
        <v>5</v>
      </c>
      <c r="B20" s="31" t="s">
        <v>14</v>
      </c>
      <c r="C20" s="31" t="s">
        <v>18</v>
      </c>
      <c r="D20" s="31" t="s">
        <v>19</v>
      </c>
      <c r="E20" s="31" t="s">
        <v>20</v>
      </c>
      <c r="F20" s="31" t="s">
        <v>77</v>
      </c>
    </row>
    <row r="21" spans="1:7" s="6" customFormat="1" x14ac:dyDescent="0.3">
      <c r="A21" s="6" t="s">
        <v>15</v>
      </c>
      <c r="B21" s="28"/>
      <c r="C21" s="28"/>
      <c r="D21" s="28"/>
      <c r="E21" s="29">
        <f>C21-D21</f>
        <v>0</v>
      </c>
      <c r="F21" s="29" t="s">
        <v>22</v>
      </c>
    </row>
    <row r="22" spans="1:7" s="6" customFormat="1" x14ac:dyDescent="0.3">
      <c r="A22" s="6" t="s">
        <v>16</v>
      </c>
      <c r="B22" s="28">
        <v>180000</v>
      </c>
      <c r="C22" s="28">
        <v>55000</v>
      </c>
      <c r="D22" s="28">
        <v>42000</v>
      </c>
      <c r="E22" s="29">
        <f>C22-D22</f>
        <v>13000</v>
      </c>
      <c r="F22" s="29">
        <f>D22+E22</f>
        <v>55000</v>
      </c>
      <c r="G22" s="19">
        <f>F22/F58</f>
        <v>7.3825503355704702E-2</v>
      </c>
    </row>
    <row r="23" spans="1:7" s="6" customFormat="1" x14ac:dyDescent="0.3">
      <c r="B23" s="30"/>
      <c r="C23" s="30"/>
      <c r="D23" s="30"/>
      <c r="E23" s="30"/>
      <c r="F23" s="30"/>
    </row>
    <row r="24" spans="1:7" s="6" customFormat="1" x14ac:dyDescent="0.3">
      <c r="A24" s="9" t="s">
        <v>6</v>
      </c>
      <c r="B24" s="31" t="s">
        <v>14</v>
      </c>
      <c r="C24" s="31" t="s">
        <v>18</v>
      </c>
      <c r="D24" s="31" t="s">
        <v>19</v>
      </c>
      <c r="E24" s="31" t="s">
        <v>20</v>
      </c>
      <c r="F24" s="31" t="s">
        <v>77</v>
      </c>
    </row>
    <row r="25" spans="1:7" s="6" customFormat="1" x14ac:dyDescent="0.3">
      <c r="A25" s="6" t="s">
        <v>15</v>
      </c>
      <c r="B25" s="28"/>
      <c r="C25" s="28"/>
      <c r="D25" s="28"/>
      <c r="E25" s="29">
        <f>C25-D25</f>
        <v>0</v>
      </c>
      <c r="F25" s="29" t="s">
        <v>22</v>
      </c>
    </row>
    <row r="26" spans="1:7" s="6" customFormat="1" x14ac:dyDescent="0.3">
      <c r="A26" s="6" t="s">
        <v>16</v>
      </c>
      <c r="B26" s="28">
        <v>250000</v>
      </c>
      <c r="C26" s="28">
        <v>85000</v>
      </c>
      <c r="D26" s="28">
        <v>45000</v>
      </c>
      <c r="E26" s="29">
        <f>C26-D26</f>
        <v>40000</v>
      </c>
      <c r="F26" s="29">
        <f>D26+E26</f>
        <v>85000</v>
      </c>
      <c r="G26" s="19">
        <f>F26/F58</f>
        <v>0.11409395973154363</v>
      </c>
    </row>
    <row r="27" spans="1:7" s="6" customFormat="1" x14ac:dyDescent="0.3">
      <c r="B27" s="30"/>
      <c r="C27" s="30"/>
      <c r="D27" s="30"/>
      <c r="E27" s="30"/>
      <c r="F27" s="30"/>
    </row>
    <row r="28" spans="1:7" s="6" customFormat="1" ht="15.45" customHeight="1" x14ac:dyDescent="0.3">
      <c r="A28" s="9" t="s">
        <v>7</v>
      </c>
      <c r="B28" s="31" t="s">
        <v>14</v>
      </c>
      <c r="C28" s="31" t="s">
        <v>18</v>
      </c>
      <c r="D28" s="31" t="s">
        <v>19</v>
      </c>
      <c r="E28" s="31" t="s">
        <v>20</v>
      </c>
      <c r="F28" s="31" t="s">
        <v>77</v>
      </c>
    </row>
    <row r="29" spans="1:7" s="6" customFormat="1" x14ac:dyDescent="0.3">
      <c r="A29" s="6" t="s">
        <v>15</v>
      </c>
      <c r="B29" s="28"/>
      <c r="C29" s="28"/>
      <c r="D29" s="28"/>
      <c r="E29" s="29">
        <f>C29-D29</f>
        <v>0</v>
      </c>
      <c r="F29" s="29" t="s">
        <v>22</v>
      </c>
    </row>
    <row r="30" spans="1:7" s="6" customFormat="1" x14ac:dyDescent="0.3">
      <c r="A30" s="6" t="s">
        <v>16</v>
      </c>
      <c r="B30" s="28">
        <v>290000</v>
      </c>
      <c r="C30" s="28">
        <v>115000</v>
      </c>
      <c r="D30" s="28">
        <v>45000</v>
      </c>
      <c r="E30" s="29">
        <f>C30-D30</f>
        <v>70000</v>
      </c>
      <c r="F30" s="29">
        <f>D30+E30</f>
        <v>115000</v>
      </c>
      <c r="G30" s="19">
        <f>F30/F58</f>
        <v>0.15436241610738255</v>
      </c>
    </row>
    <row r="31" spans="1:7" s="6" customFormat="1" x14ac:dyDescent="0.3">
      <c r="B31" s="30"/>
      <c r="C31" s="30"/>
      <c r="D31" s="30"/>
      <c r="E31" s="30"/>
      <c r="F31" s="30"/>
    </row>
    <row r="32" spans="1:7" s="6" customFormat="1" x14ac:dyDescent="0.3">
      <c r="A32" s="9" t="s">
        <v>8</v>
      </c>
      <c r="B32" s="31" t="s">
        <v>14</v>
      </c>
      <c r="C32" s="31" t="s">
        <v>18</v>
      </c>
      <c r="D32" s="31" t="s">
        <v>19</v>
      </c>
      <c r="E32" s="31" t="s">
        <v>20</v>
      </c>
      <c r="F32" s="31" t="s">
        <v>77</v>
      </c>
    </row>
    <row r="33" spans="1:7" s="6" customFormat="1" x14ac:dyDescent="0.3">
      <c r="A33" s="6" t="s">
        <v>15</v>
      </c>
      <c r="B33" s="28"/>
      <c r="C33" s="28"/>
      <c r="D33" s="28"/>
      <c r="E33" s="29">
        <f>C33-D33</f>
        <v>0</v>
      </c>
      <c r="F33" s="29" t="s">
        <v>22</v>
      </c>
    </row>
    <row r="34" spans="1:7" s="6" customFormat="1" x14ac:dyDescent="0.3">
      <c r="A34" s="6" t="s">
        <v>16</v>
      </c>
      <c r="B34" s="28">
        <v>280000</v>
      </c>
      <c r="C34" s="28">
        <v>98000</v>
      </c>
      <c r="D34" s="28">
        <v>46000</v>
      </c>
      <c r="E34" s="29">
        <f>C34-D34</f>
        <v>52000</v>
      </c>
      <c r="F34" s="29">
        <f>D34+E34</f>
        <v>98000</v>
      </c>
      <c r="G34" s="19">
        <f>F34/F58</f>
        <v>0.13154362416107382</v>
      </c>
    </row>
    <row r="35" spans="1:7" s="6" customFormat="1" x14ac:dyDescent="0.3">
      <c r="B35" s="30"/>
      <c r="C35" s="30"/>
      <c r="D35" s="30"/>
      <c r="E35" s="30"/>
      <c r="F35" s="30"/>
    </row>
    <row r="36" spans="1:7" s="6" customFormat="1" x14ac:dyDescent="0.3">
      <c r="A36" s="9" t="s">
        <v>9</v>
      </c>
      <c r="B36" s="31" t="s">
        <v>14</v>
      </c>
      <c r="C36" s="31" t="s">
        <v>18</v>
      </c>
      <c r="D36" s="31" t="s">
        <v>19</v>
      </c>
      <c r="E36" s="31" t="s">
        <v>20</v>
      </c>
      <c r="F36" s="31" t="s">
        <v>77</v>
      </c>
    </row>
    <row r="37" spans="1:7" s="6" customFormat="1" x14ac:dyDescent="0.3">
      <c r="A37" s="6" t="s">
        <v>15</v>
      </c>
      <c r="B37" s="28"/>
      <c r="C37" s="28"/>
      <c r="D37" s="28"/>
      <c r="E37" s="29">
        <f>C37-D37</f>
        <v>0</v>
      </c>
      <c r="F37" s="29" t="s">
        <v>22</v>
      </c>
    </row>
    <row r="38" spans="1:7" s="6" customFormat="1" x14ac:dyDescent="0.3">
      <c r="A38" s="6" t="s">
        <v>16</v>
      </c>
      <c r="B38" s="28">
        <v>250000</v>
      </c>
      <c r="C38" s="28">
        <v>80000</v>
      </c>
      <c r="D38" s="28">
        <v>46000</v>
      </c>
      <c r="E38" s="29">
        <f>C38-D38</f>
        <v>34000</v>
      </c>
      <c r="F38" s="29">
        <f>D38+E38</f>
        <v>80000</v>
      </c>
      <c r="G38" s="19">
        <f>F38/F58</f>
        <v>0.10738255033557047</v>
      </c>
    </row>
    <row r="39" spans="1:7" s="6" customFormat="1" x14ac:dyDescent="0.3">
      <c r="B39" s="30"/>
      <c r="C39" s="30"/>
      <c r="D39" s="30"/>
      <c r="E39" s="30"/>
      <c r="F39" s="30"/>
    </row>
    <row r="40" spans="1:7" s="6" customFormat="1" x14ac:dyDescent="0.3">
      <c r="A40" s="9" t="s">
        <v>10</v>
      </c>
      <c r="B40" s="31" t="s">
        <v>14</v>
      </c>
      <c r="C40" s="31" t="s">
        <v>18</v>
      </c>
      <c r="D40" s="31" t="s">
        <v>19</v>
      </c>
      <c r="E40" s="31" t="s">
        <v>20</v>
      </c>
      <c r="F40" s="31" t="s">
        <v>77</v>
      </c>
    </row>
    <row r="41" spans="1:7" s="6" customFormat="1" x14ac:dyDescent="0.3">
      <c r="A41" s="6" t="s">
        <v>15</v>
      </c>
      <c r="B41" s="28"/>
      <c r="C41" s="28"/>
      <c r="D41" s="28"/>
      <c r="E41" s="29">
        <f>C41-D41</f>
        <v>0</v>
      </c>
      <c r="F41" s="29" t="s">
        <v>22</v>
      </c>
    </row>
    <row r="42" spans="1:7" s="6" customFormat="1" x14ac:dyDescent="0.3">
      <c r="A42" s="6" t="s">
        <v>16</v>
      </c>
      <c r="B42" s="28">
        <v>160000</v>
      </c>
      <c r="C42" s="28">
        <v>48000</v>
      </c>
      <c r="D42" s="28">
        <v>35000</v>
      </c>
      <c r="E42" s="29">
        <f>C42-D42</f>
        <v>13000</v>
      </c>
      <c r="F42" s="29">
        <f>D42+E42</f>
        <v>48000</v>
      </c>
      <c r="G42" s="19">
        <f>F42/F58</f>
        <v>6.4429530201342289E-2</v>
      </c>
    </row>
    <row r="43" spans="1:7" s="6" customFormat="1" x14ac:dyDescent="0.3">
      <c r="B43" s="30"/>
      <c r="C43" s="30"/>
      <c r="D43" s="30"/>
      <c r="E43" s="30"/>
      <c r="F43" s="30"/>
    </row>
    <row r="44" spans="1:7" s="6" customFormat="1" x14ac:dyDescent="0.3">
      <c r="A44" s="9" t="s">
        <v>11</v>
      </c>
      <c r="B44" s="31" t="s">
        <v>14</v>
      </c>
      <c r="C44" s="31" t="s">
        <v>18</v>
      </c>
      <c r="D44" s="31" t="s">
        <v>19</v>
      </c>
      <c r="E44" s="31" t="s">
        <v>20</v>
      </c>
      <c r="F44" s="31" t="s">
        <v>77</v>
      </c>
    </row>
    <row r="45" spans="1:7" s="6" customFormat="1" x14ac:dyDescent="0.3">
      <c r="A45" s="6" t="s">
        <v>15</v>
      </c>
      <c r="B45" s="28"/>
      <c r="C45" s="28"/>
      <c r="D45" s="28"/>
      <c r="E45" s="29">
        <f>C45-D45</f>
        <v>0</v>
      </c>
      <c r="F45" s="29" t="s">
        <v>22</v>
      </c>
    </row>
    <row r="46" spans="1:7" s="6" customFormat="1" x14ac:dyDescent="0.3">
      <c r="A46" s="6" t="s">
        <v>16</v>
      </c>
      <c r="B46" s="28">
        <v>150000</v>
      </c>
      <c r="C46" s="28">
        <v>45000</v>
      </c>
      <c r="D46" s="28">
        <v>35000</v>
      </c>
      <c r="E46" s="29">
        <f>C46-D46</f>
        <v>10000</v>
      </c>
      <c r="F46" s="29">
        <f>D46+E46</f>
        <v>45000</v>
      </c>
      <c r="G46" s="19">
        <f>F46/F58</f>
        <v>6.0402684563758392E-2</v>
      </c>
    </row>
    <row r="47" spans="1:7" s="6" customFormat="1" x14ac:dyDescent="0.3">
      <c r="B47" s="30"/>
      <c r="C47" s="30"/>
      <c r="D47" s="30"/>
      <c r="E47" s="30"/>
      <c r="F47" s="30"/>
    </row>
    <row r="48" spans="1:7" s="6" customFormat="1" x14ac:dyDescent="0.3">
      <c r="A48" s="9" t="s">
        <v>12</v>
      </c>
      <c r="B48" s="31" t="s">
        <v>14</v>
      </c>
      <c r="C48" s="31" t="s">
        <v>18</v>
      </c>
      <c r="D48" s="31" t="s">
        <v>19</v>
      </c>
      <c r="E48" s="31" t="s">
        <v>20</v>
      </c>
      <c r="F48" s="31" t="s">
        <v>77</v>
      </c>
    </row>
    <row r="49" spans="1:7" s="6" customFormat="1" x14ac:dyDescent="0.3">
      <c r="A49" s="6" t="s">
        <v>15</v>
      </c>
      <c r="B49" s="28"/>
      <c r="C49" s="28"/>
      <c r="D49" s="28"/>
      <c r="E49" s="29">
        <f>C49-D49</f>
        <v>0</v>
      </c>
      <c r="F49" s="29" t="s">
        <v>22</v>
      </c>
    </row>
    <row r="50" spans="1:7" s="6" customFormat="1" x14ac:dyDescent="0.3">
      <c r="A50" s="6" t="s">
        <v>16</v>
      </c>
      <c r="B50" s="28">
        <v>150000</v>
      </c>
      <c r="C50" s="28">
        <v>42000</v>
      </c>
      <c r="D50" s="28">
        <v>35000</v>
      </c>
      <c r="E50" s="29">
        <f>C50-D50</f>
        <v>7000</v>
      </c>
      <c r="F50" s="29">
        <f>D50+E50</f>
        <v>42000</v>
      </c>
      <c r="G50" s="19">
        <f>F50/F58</f>
        <v>5.6375838926174496E-2</v>
      </c>
    </row>
    <row r="51" spans="1:7" s="6" customFormat="1" x14ac:dyDescent="0.3">
      <c r="B51" s="30"/>
      <c r="C51" s="30"/>
      <c r="D51" s="30"/>
      <c r="E51" s="30"/>
      <c r="F51" s="30"/>
    </row>
    <row r="52" spans="1:7" s="6" customFormat="1" x14ac:dyDescent="0.3">
      <c r="A52" s="9" t="s">
        <v>13</v>
      </c>
      <c r="B52" s="31" t="s">
        <v>14</v>
      </c>
      <c r="C52" s="31" t="s">
        <v>18</v>
      </c>
      <c r="D52" s="31" t="s">
        <v>19</v>
      </c>
      <c r="E52" s="31" t="s">
        <v>20</v>
      </c>
      <c r="F52" s="31" t="s">
        <v>77</v>
      </c>
    </row>
    <row r="53" spans="1:7" s="6" customFormat="1" x14ac:dyDescent="0.3">
      <c r="A53" s="6" t="s">
        <v>15</v>
      </c>
      <c r="B53" s="28"/>
      <c r="C53" s="28"/>
      <c r="D53" s="28"/>
      <c r="E53" s="29">
        <f>C53-D53</f>
        <v>0</v>
      </c>
      <c r="F53" s="29" t="s">
        <v>22</v>
      </c>
    </row>
    <row r="54" spans="1:7" s="6" customFormat="1" x14ac:dyDescent="0.3">
      <c r="A54" s="6" t="s">
        <v>16</v>
      </c>
      <c r="B54" s="28">
        <v>120000</v>
      </c>
      <c r="C54" s="28">
        <v>35000</v>
      </c>
      <c r="D54" s="28">
        <v>35000</v>
      </c>
      <c r="E54" s="29">
        <f>C54-D54</f>
        <v>0</v>
      </c>
      <c r="F54" s="29">
        <f>D54+E54</f>
        <v>35000</v>
      </c>
      <c r="G54" s="19">
        <f>F54/F58</f>
        <v>4.6979865771812082E-2</v>
      </c>
    </row>
    <row r="55" spans="1:7" s="6" customFormat="1" x14ac:dyDescent="0.3">
      <c r="B55" s="30"/>
      <c r="C55" s="30"/>
      <c r="D55" s="30"/>
      <c r="E55" s="30"/>
      <c r="F55" s="30"/>
    </row>
    <row r="56" spans="1:7" s="6" customFormat="1" ht="23.4" x14ac:dyDescent="0.45">
      <c r="A56" s="15" t="s">
        <v>35</v>
      </c>
      <c r="B56" s="32" t="s">
        <v>14</v>
      </c>
      <c r="C56" s="32" t="s">
        <v>18</v>
      </c>
      <c r="D56" s="32" t="s">
        <v>19</v>
      </c>
      <c r="E56" s="32" t="s">
        <v>20</v>
      </c>
      <c r="F56" s="32" t="s">
        <v>77</v>
      </c>
    </row>
    <row r="57" spans="1:7" ht="23.4" x14ac:dyDescent="0.45">
      <c r="A57" s="16" t="s">
        <v>15</v>
      </c>
      <c r="B57" s="33">
        <f t="shared" ref="B57:D58" si="0">B9+B13+B17+B21+B25+B29+B33+B37+B41+B45+B49+B53</f>
        <v>0</v>
      </c>
      <c r="C57" s="33">
        <f t="shared" si="0"/>
        <v>0</v>
      </c>
      <c r="D57" s="33">
        <f t="shared" si="0"/>
        <v>0</v>
      </c>
      <c r="E57" s="33">
        <f>C57-D57</f>
        <v>0</v>
      </c>
      <c r="F57" s="33" t="s">
        <v>22</v>
      </c>
    </row>
    <row r="58" spans="1:7" ht="23.4" x14ac:dyDescent="0.45">
      <c r="A58" s="16" t="s">
        <v>16</v>
      </c>
      <c r="B58" s="33">
        <f t="shared" si="0"/>
        <v>2270000</v>
      </c>
      <c r="C58" s="33">
        <f t="shared" si="0"/>
        <v>745000</v>
      </c>
      <c r="D58" s="33">
        <f t="shared" si="0"/>
        <v>469000</v>
      </c>
      <c r="E58" s="33">
        <f>C58-D58</f>
        <v>276000</v>
      </c>
      <c r="F58" s="33">
        <f>D58+E58</f>
        <v>745000</v>
      </c>
      <c r="G58">
        <f>E58/B58</f>
        <v>0.12158590308370044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D809E-DDAF-4873-8E68-A00E4E12D6E8}">
  <dimension ref="B1:G27"/>
  <sheetViews>
    <sheetView topLeftCell="A8" workbookViewId="0">
      <selection activeCell="J7" sqref="J7"/>
    </sheetView>
  </sheetViews>
  <sheetFormatPr defaultRowHeight="14.4" x14ac:dyDescent="0.3"/>
  <cols>
    <col min="1" max="1" width="19.6640625" customWidth="1"/>
    <col min="2" max="2" width="13.88671875" customWidth="1"/>
    <col min="3" max="3" width="28.33203125" customWidth="1"/>
    <col min="4" max="4" width="10.6640625" style="6" customWidth="1"/>
    <col min="5" max="5" width="11.88671875" bestFit="1" customWidth="1"/>
    <col min="6" max="6" width="12.33203125" bestFit="1" customWidth="1"/>
    <col min="7" max="7" width="12.44140625" customWidth="1"/>
  </cols>
  <sheetData>
    <row r="1" spans="2:7" ht="23.4" x14ac:dyDescent="0.45">
      <c r="B1" s="3" t="s">
        <v>0</v>
      </c>
    </row>
    <row r="2" spans="2:7" ht="11.55" customHeight="1" x14ac:dyDescent="0.3">
      <c r="B2" s="4" t="s">
        <v>21</v>
      </c>
      <c r="C2" s="50" t="s">
        <v>76</v>
      </c>
    </row>
    <row r="3" spans="2:7" ht="15" thickBot="1" x14ac:dyDescent="0.35"/>
    <row r="4" spans="2:7" ht="21.6" thickBot="1" x14ac:dyDescent="0.45">
      <c r="B4" s="54">
        <f>'Step 2 Budget  Plan'!F58/'Step 1 Capacity'!B20</f>
        <v>2350.1577287066248</v>
      </c>
      <c r="C4" s="55" t="s">
        <v>36</v>
      </c>
      <c r="D4" s="56"/>
    </row>
    <row r="6" spans="2:7" x14ac:dyDescent="0.3">
      <c r="B6" s="17"/>
      <c r="C6" s="18" t="s">
        <v>37</v>
      </c>
      <c r="D6" s="23" t="s">
        <v>41</v>
      </c>
      <c r="F6" s="22"/>
    </row>
    <row r="7" spans="2:7" x14ac:dyDescent="0.3">
      <c r="B7" s="20">
        <v>0.9</v>
      </c>
      <c r="C7" s="39" t="s">
        <v>39</v>
      </c>
      <c r="D7" s="24">
        <f>'Step 1 Capacity'!B20*'Step 3 GPMD'!B7</f>
        <v>285.3</v>
      </c>
    </row>
    <row r="8" spans="2:7" x14ac:dyDescent="0.3">
      <c r="B8" s="20">
        <v>0.1</v>
      </c>
      <c r="C8" s="39" t="s">
        <v>38</v>
      </c>
      <c r="D8" s="24">
        <f>('Step 1 Capacity'!B20-'Step 3 GPMD'!D7)/0.5</f>
        <v>63.399999999999977</v>
      </c>
    </row>
    <row r="9" spans="2:7" x14ac:dyDescent="0.3">
      <c r="B9" s="21">
        <f>B7+B8</f>
        <v>1</v>
      </c>
      <c r="C9" s="51" t="s">
        <v>35</v>
      </c>
      <c r="D9" s="24">
        <f>D7+D8</f>
        <v>348.7</v>
      </c>
    </row>
    <row r="10" spans="2:7" x14ac:dyDescent="0.3">
      <c r="B10" s="25"/>
    </row>
    <row r="11" spans="2:7" x14ac:dyDescent="0.3">
      <c r="B11" s="20">
        <v>0.5</v>
      </c>
      <c r="C11" s="39" t="s">
        <v>40</v>
      </c>
    </row>
    <row r="13" spans="2:7" x14ac:dyDescent="0.3">
      <c r="B13" s="34"/>
      <c r="C13" s="35" t="s">
        <v>42</v>
      </c>
      <c r="D13" s="35" t="s">
        <v>41</v>
      </c>
      <c r="E13" s="38" t="s">
        <v>55</v>
      </c>
      <c r="F13" s="35" t="s">
        <v>56</v>
      </c>
      <c r="G13" s="35" t="s">
        <v>57</v>
      </c>
    </row>
    <row r="14" spans="2:7" x14ac:dyDescent="0.3">
      <c r="B14" s="36" t="s">
        <v>43</v>
      </c>
      <c r="C14" s="37">
        <f>D9/B11</f>
        <v>697.4</v>
      </c>
      <c r="D14" s="37">
        <f>D9</f>
        <v>348.7</v>
      </c>
      <c r="E14" s="7">
        <v>52</v>
      </c>
      <c r="F14" s="53">
        <f>D14/E14</f>
        <v>6.7057692307692305</v>
      </c>
      <c r="G14" s="52">
        <f>F14/5</f>
        <v>1.3411538461538461</v>
      </c>
    </row>
    <row r="15" spans="2:7" x14ac:dyDescent="0.3">
      <c r="B15" s="36" t="s">
        <v>44</v>
      </c>
      <c r="C15" s="37">
        <f>C14*'Step 2 Budget  Plan'!G10</f>
        <v>46.805369127516776</v>
      </c>
      <c r="D15" s="37">
        <f>D14*'Step 2 Budget  Plan'!G10</f>
        <v>23.402684563758388</v>
      </c>
      <c r="E15" s="7">
        <v>4</v>
      </c>
      <c r="F15" s="53">
        <f t="shared" ref="F15:F26" si="0">D15/E15</f>
        <v>5.8506711409395971</v>
      </c>
      <c r="G15" s="52">
        <f t="shared" ref="G15:G26" si="1">F15/5</f>
        <v>1.1701342281879195</v>
      </c>
    </row>
    <row r="16" spans="2:7" x14ac:dyDescent="0.3">
      <c r="B16" s="36" t="s">
        <v>45</v>
      </c>
      <c r="C16" s="37">
        <f>C14*'Step 2 Budget  Plan'!G14</f>
        <v>39.316510067114095</v>
      </c>
      <c r="D16" s="37">
        <f>D14*'Step 2 Budget  Plan'!G14</f>
        <v>19.658255033557047</v>
      </c>
      <c r="E16" s="7">
        <v>4</v>
      </c>
      <c r="F16" s="53">
        <f t="shared" si="0"/>
        <v>4.9145637583892618</v>
      </c>
      <c r="G16" s="52">
        <f t="shared" si="1"/>
        <v>0.98291275167785241</v>
      </c>
    </row>
    <row r="17" spans="2:7" x14ac:dyDescent="0.3">
      <c r="B17" s="36" t="s">
        <v>46</v>
      </c>
      <c r="C17" s="37">
        <f>C14*'Step 2 Budget  Plan'!G18</f>
        <v>46.805369127516776</v>
      </c>
      <c r="D17" s="37">
        <f>D14*'Step 2 Budget  Plan'!G18</f>
        <v>23.402684563758388</v>
      </c>
      <c r="E17" s="7">
        <v>4</v>
      </c>
      <c r="F17" s="53">
        <f t="shared" si="0"/>
        <v>5.8506711409395971</v>
      </c>
      <c r="G17" s="52">
        <f t="shared" si="1"/>
        <v>1.1701342281879195</v>
      </c>
    </row>
    <row r="18" spans="2:7" x14ac:dyDescent="0.3">
      <c r="B18" s="36" t="s">
        <v>47</v>
      </c>
      <c r="C18" s="37">
        <f>C14*'Step 2 Budget  Plan'!G22</f>
        <v>51.485906040268461</v>
      </c>
      <c r="D18" s="37">
        <f>D14*'Step 2 Budget  Plan'!G22</f>
        <v>25.74295302013423</v>
      </c>
      <c r="E18" s="7">
        <v>4</v>
      </c>
      <c r="F18" s="53">
        <f t="shared" si="0"/>
        <v>6.4357382550335576</v>
      </c>
      <c r="G18" s="52">
        <f t="shared" si="1"/>
        <v>1.2871476510067115</v>
      </c>
    </row>
    <row r="19" spans="2:7" x14ac:dyDescent="0.3">
      <c r="B19" s="36" t="s">
        <v>6</v>
      </c>
      <c r="C19" s="37">
        <f>C14*'Step 2 Budget  Plan'!G26</f>
        <v>79.569127516778522</v>
      </c>
      <c r="D19" s="37">
        <f>D14*'Step 2 Budget  Plan'!G26</f>
        <v>39.784563758389261</v>
      </c>
      <c r="E19" s="7">
        <v>4</v>
      </c>
      <c r="F19" s="53">
        <f t="shared" si="0"/>
        <v>9.9461409395973153</v>
      </c>
      <c r="G19" s="52">
        <f t="shared" si="1"/>
        <v>1.9892281879194631</v>
      </c>
    </row>
    <row r="20" spans="2:7" x14ac:dyDescent="0.3">
      <c r="B20" s="36" t="s">
        <v>48</v>
      </c>
      <c r="C20" s="37">
        <f>C14*'Step 2 Budget  Plan'!G30</f>
        <v>107.65234899328858</v>
      </c>
      <c r="D20" s="37">
        <f>D14*'Step 2 Budget  Plan'!G30</f>
        <v>53.826174496644292</v>
      </c>
      <c r="E20" s="7">
        <v>4</v>
      </c>
      <c r="F20" s="53">
        <f t="shared" si="0"/>
        <v>13.456543624161073</v>
      </c>
      <c r="G20" s="52">
        <f t="shared" si="1"/>
        <v>2.6913087248322145</v>
      </c>
    </row>
    <row r="21" spans="2:7" x14ac:dyDescent="0.3">
      <c r="B21" s="36" t="s">
        <v>49</v>
      </c>
      <c r="C21" s="37">
        <f>C14*'Step 2 Budget  Plan'!G34</f>
        <v>91.738523489932874</v>
      </c>
      <c r="D21" s="37">
        <f>D14*'Step 2 Budget  Plan'!G34</f>
        <v>45.869261744966437</v>
      </c>
      <c r="E21" s="7">
        <v>4</v>
      </c>
      <c r="F21" s="53">
        <f t="shared" si="0"/>
        <v>11.467315436241609</v>
      </c>
      <c r="G21" s="52">
        <f t="shared" si="1"/>
        <v>2.2934630872483219</v>
      </c>
    </row>
    <row r="22" spans="2:7" x14ac:dyDescent="0.3">
      <c r="B22" s="36" t="s">
        <v>50</v>
      </c>
      <c r="C22" s="37">
        <f>C14*'Step 2 Budget  Plan'!G38</f>
        <v>74.888590604026845</v>
      </c>
      <c r="D22" s="37">
        <f>D14*'Step 2 Budget  Plan'!G38</f>
        <v>37.444295302013423</v>
      </c>
      <c r="E22" s="7">
        <v>4</v>
      </c>
      <c r="F22" s="53">
        <f t="shared" si="0"/>
        <v>9.3610738255033556</v>
      </c>
      <c r="G22" s="52">
        <f t="shared" si="1"/>
        <v>1.8722147651006711</v>
      </c>
    </row>
    <row r="23" spans="2:7" x14ac:dyDescent="0.3">
      <c r="B23" s="36" t="s">
        <v>51</v>
      </c>
      <c r="C23" s="37">
        <f>C14*'Step 2 Budget  Plan'!G42</f>
        <v>44.933154362416111</v>
      </c>
      <c r="D23" s="37">
        <f>D14*'Step 2 Budget  Plan'!G42</f>
        <v>22.466577181208056</v>
      </c>
      <c r="E23" s="7">
        <v>4</v>
      </c>
      <c r="F23" s="53">
        <f t="shared" si="0"/>
        <v>5.6166442953020139</v>
      </c>
      <c r="G23" s="52">
        <f t="shared" si="1"/>
        <v>1.1233288590604027</v>
      </c>
    </row>
    <row r="24" spans="2:7" x14ac:dyDescent="0.3">
      <c r="B24" s="36" t="s">
        <v>52</v>
      </c>
      <c r="C24" s="37">
        <f>C14*'Step 2 Budget  Plan'!G46</f>
        <v>42.1248322147651</v>
      </c>
      <c r="D24" s="37">
        <f>D14*'Step 2 Budget  Plan'!G46</f>
        <v>21.06241610738255</v>
      </c>
      <c r="E24" s="7">
        <v>4</v>
      </c>
      <c r="F24" s="53">
        <f t="shared" si="0"/>
        <v>5.2656040268456374</v>
      </c>
      <c r="G24" s="52">
        <f t="shared" si="1"/>
        <v>1.0531208053691274</v>
      </c>
    </row>
    <row r="25" spans="2:7" x14ac:dyDescent="0.3">
      <c r="B25" s="36" t="s">
        <v>53</v>
      </c>
      <c r="C25" s="37">
        <f>C14*'Step 2 Budget  Plan'!G50</f>
        <v>39.316510067114095</v>
      </c>
      <c r="D25" s="37">
        <f>D14*'Step 2 Budget  Plan'!G50</f>
        <v>19.658255033557047</v>
      </c>
      <c r="E25" s="7">
        <v>4</v>
      </c>
      <c r="F25" s="53">
        <f t="shared" si="0"/>
        <v>4.9145637583892618</v>
      </c>
      <c r="G25" s="52">
        <f t="shared" si="1"/>
        <v>0.98291275167785241</v>
      </c>
    </row>
    <row r="26" spans="2:7" x14ac:dyDescent="0.3">
      <c r="B26" s="36" t="s">
        <v>54</v>
      </c>
      <c r="C26" s="37">
        <f>C14*'Step 2 Budget  Plan'!G54</f>
        <v>32.763758389261746</v>
      </c>
      <c r="D26" s="37">
        <f>D14*'Step 2 Budget  Plan'!G54</f>
        <v>16.381879194630873</v>
      </c>
      <c r="E26" s="7">
        <v>4</v>
      </c>
      <c r="F26" s="53">
        <f t="shared" si="0"/>
        <v>4.0954697986577182</v>
      </c>
      <c r="G26" s="52">
        <f t="shared" si="1"/>
        <v>0.81909395973154364</v>
      </c>
    </row>
    <row r="27" spans="2:7" x14ac:dyDescent="0.3">
      <c r="G27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5FAE8-A911-444B-99F5-99FDB63C945B}">
  <dimension ref="B1:D17"/>
  <sheetViews>
    <sheetView workbookViewId="0">
      <selection activeCell="J12" sqref="J12"/>
    </sheetView>
  </sheetViews>
  <sheetFormatPr defaultRowHeight="14.4" x14ac:dyDescent="0.3"/>
  <cols>
    <col min="1" max="1" width="26.77734375" customWidth="1"/>
    <col min="2" max="2" width="22.88671875" customWidth="1"/>
    <col min="3" max="3" width="22.6640625" style="40" customWidth="1"/>
  </cols>
  <sheetData>
    <row r="1" spans="2:4" ht="23.4" x14ac:dyDescent="0.45">
      <c r="B1" s="3" t="s">
        <v>0</v>
      </c>
    </row>
    <row r="2" spans="2:4" ht="10.5" customHeight="1" x14ac:dyDescent="0.3">
      <c r="B2" s="4" t="s">
        <v>21</v>
      </c>
      <c r="C2" s="50" t="s">
        <v>76</v>
      </c>
      <c r="D2" s="57"/>
    </row>
    <row r="4" spans="2:4" x14ac:dyDescent="0.3">
      <c r="B4" s="44">
        <f>'Step 3 GPMD'!B4</f>
        <v>2350.1577287066248</v>
      </c>
      <c r="C4" s="41" t="s">
        <v>59</v>
      </c>
    </row>
    <row r="5" spans="2:4" x14ac:dyDescent="0.3">
      <c r="B5" s="43">
        <v>3000</v>
      </c>
      <c r="C5" s="42" t="s">
        <v>60</v>
      </c>
    </row>
    <row r="6" spans="2:4" x14ac:dyDescent="0.3">
      <c r="B6" s="39">
        <v>1</v>
      </c>
      <c r="C6" s="42" t="s">
        <v>61</v>
      </c>
    </row>
    <row r="7" spans="2:4" x14ac:dyDescent="0.3">
      <c r="B7" s="43">
        <v>750</v>
      </c>
      <c r="C7" s="42" t="s">
        <v>80</v>
      </c>
    </row>
    <row r="8" spans="2:4" x14ac:dyDescent="0.3">
      <c r="B8" s="43">
        <v>500</v>
      </c>
      <c r="C8" s="42" t="s">
        <v>62</v>
      </c>
    </row>
    <row r="9" spans="2:4" x14ac:dyDescent="0.3">
      <c r="B9" s="43">
        <v>5675</v>
      </c>
      <c r="C9" s="42" t="s">
        <v>63</v>
      </c>
    </row>
    <row r="10" spans="2:4" x14ac:dyDescent="0.3">
      <c r="B10" s="43">
        <v>500</v>
      </c>
      <c r="C10" s="42" t="s">
        <v>64</v>
      </c>
    </row>
    <row r="11" spans="2:4" x14ac:dyDescent="0.3">
      <c r="B11" s="43">
        <v>100</v>
      </c>
      <c r="C11" s="42" t="s">
        <v>65</v>
      </c>
    </row>
    <row r="12" spans="2:4" x14ac:dyDescent="0.3">
      <c r="B12" s="43">
        <v>0</v>
      </c>
      <c r="C12" s="42" t="s">
        <v>79</v>
      </c>
    </row>
    <row r="13" spans="2:4" x14ac:dyDescent="0.3">
      <c r="B13" s="43">
        <v>800</v>
      </c>
      <c r="C13" s="42" t="s">
        <v>78</v>
      </c>
    </row>
    <row r="14" spans="2:4" x14ac:dyDescent="0.3">
      <c r="B14" s="43">
        <v>200</v>
      </c>
      <c r="C14" s="42" t="s">
        <v>66</v>
      </c>
    </row>
    <row r="15" spans="2:4" x14ac:dyDescent="0.3">
      <c r="B15" s="44">
        <f>SUM(B7:B14)</f>
        <v>8525</v>
      </c>
      <c r="C15" s="41" t="s">
        <v>81</v>
      </c>
    </row>
    <row r="16" spans="2:4" x14ac:dyDescent="0.3">
      <c r="B16" s="44">
        <f>B15+(('Step 2 Budget  Plan'!D58/'Step 1 Capacity'!B20)/'Step 1 Capacity'!B6)</f>
        <v>9264.7476340694011</v>
      </c>
      <c r="C16" s="41" t="s">
        <v>68</v>
      </c>
    </row>
    <row r="17" spans="2:3" ht="25.8" x14ac:dyDescent="0.5">
      <c r="B17" s="45">
        <f>(B5*B6)+B7+B8+B9+B10+B11+B12+B13+B14</f>
        <v>11525</v>
      </c>
      <c r="C17" s="46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3C190-FD64-4403-B1FF-3660306A52D1}">
  <dimension ref="A1:F12"/>
  <sheetViews>
    <sheetView workbookViewId="0">
      <selection activeCell="H14" sqref="H14"/>
    </sheetView>
  </sheetViews>
  <sheetFormatPr defaultRowHeight="14.4" x14ac:dyDescent="0.3"/>
  <cols>
    <col min="1" max="1" width="19.5546875" bestFit="1" customWidth="1"/>
    <col min="2" max="2" width="38.33203125" customWidth="1"/>
  </cols>
  <sheetData>
    <row r="1" spans="1:6" ht="23.4" x14ac:dyDescent="0.45">
      <c r="A1" s="3" t="s">
        <v>0</v>
      </c>
    </row>
    <row r="2" spans="1:6" ht="12" customHeight="1" x14ac:dyDescent="0.3">
      <c r="A2" s="4" t="s">
        <v>21</v>
      </c>
      <c r="B2" s="50" t="s">
        <v>76</v>
      </c>
    </row>
    <row r="4" spans="1:6" x14ac:dyDescent="0.3">
      <c r="A4" s="1" t="s">
        <v>71</v>
      </c>
    </row>
    <row r="6" spans="1:6" x14ac:dyDescent="0.3">
      <c r="A6" s="43">
        <v>100000</v>
      </c>
      <c r="B6" s="11" t="s">
        <v>69</v>
      </c>
    </row>
    <row r="7" spans="1:6" x14ac:dyDescent="0.3">
      <c r="A7" s="43">
        <v>35000</v>
      </c>
      <c r="B7" s="11" t="s">
        <v>70</v>
      </c>
    </row>
    <row r="8" spans="1:6" x14ac:dyDescent="0.3">
      <c r="A8" s="47">
        <f>A7/A6</f>
        <v>0.35</v>
      </c>
      <c r="B8" s="11" t="s">
        <v>72</v>
      </c>
    </row>
    <row r="10" spans="1:6" x14ac:dyDescent="0.3">
      <c r="A10" s="43">
        <v>30000</v>
      </c>
      <c r="B10" s="11" t="s">
        <v>73</v>
      </c>
    </row>
    <row r="12" spans="1:6" ht="28.8" x14ac:dyDescent="0.55000000000000004">
      <c r="A12" s="58">
        <f>A10*A8</f>
        <v>10500</v>
      </c>
      <c r="B12" s="48" t="s">
        <v>82</v>
      </c>
      <c r="C12" s="34"/>
      <c r="D12" s="34"/>
      <c r="E12" s="34"/>
      <c r="F12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Step 1 Capacity</vt:lpstr>
      <vt:lpstr>Step 2 Budget  Plan</vt:lpstr>
      <vt:lpstr>Step 3 GPMD</vt:lpstr>
      <vt:lpstr>Step 4 Price a Job</vt:lpstr>
      <vt:lpstr>Overhead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larkin</dc:creator>
  <cp:lastModifiedBy>Jeff Matulich</cp:lastModifiedBy>
  <dcterms:created xsi:type="dcterms:W3CDTF">2024-08-06T15:17:10Z</dcterms:created>
  <dcterms:modified xsi:type="dcterms:W3CDTF">2025-01-28T23:25:11Z</dcterms:modified>
</cp:coreProperties>
</file>